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gas\Dropbox\PC\Desktop\"/>
    </mc:Choice>
  </mc:AlternateContent>
  <xr:revisionPtr revIDLastSave="0" documentId="8_{95889A42-A69D-4729-B76D-EACE2AA7831B}" xr6:coauthVersionLast="47" xr6:coauthVersionMax="47" xr10:uidLastSave="{00000000-0000-0000-0000-000000000000}"/>
  <bookViews>
    <workbookView xWindow="780" yWindow="780" windowWidth="27345" windowHeight="14790" xr2:uid="{9ED6BC37-6792-414A-80A8-52D2B3407D7F}"/>
  </bookViews>
  <sheets>
    <sheet name="Sheet1" sheetId="1" r:id="rId1"/>
    <sheet name="Prior Transfers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F22" i="1"/>
  <c r="H22" i="1"/>
  <c r="C34" i="1"/>
  <c r="P7" i="1"/>
  <c r="P6" i="1" s="1"/>
  <c r="R11" i="1" l="1"/>
  <c r="F11" i="1"/>
  <c r="H20" i="1" l="1"/>
  <c r="H23" i="1" s="1"/>
  <c r="N20" i="1"/>
  <c r="M20" i="1"/>
  <c r="L20" i="1"/>
  <c r="M19" i="1"/>
  <c r="M21" i="1" s="1"/>
  <c r="M25" i="1" l="1"/>
  <c r="R9" i="1"/>
  <c r="N9" i="1"/>
  <c r="F9" i="1"/>
  <c r="J9" i="1"/>
  <c r="Q9" i="1" l="1"/>
  <c r="P9" i="1"/>
  <c r="R8" i="1"/>
  <c r="R7" i="1"/>
  <c r="R6" i="1" s="1"/>
  <c r="R12" i="1" s="1"/>
  <c r="Q7" i="1"/>
  <c r="M9" i="1"/>
  <c r="L9" i="1"/>
  <c r="N8" i="1"/>
  <c r="N7" i="1"/>
  <c r="N6" i="1" s="1"/>
  <c r="N12" i="1" s="1"/>
  <c r="M7" i="1"/>
  <c r="L7" i="1"/>
  <c r="L12" i="1" s="1"/>
  <c r="F20" i="1"/>
  <c r="I9" i="1"/>
  <c r="H9" i="1"/>
  <c r="J8" i="1"/>
  <c r="J7" i="1"/>
  <c r="J6" i="1" s="1"/>
  <c r="J11" i="1" s="1"/>
  <c r="I7" i="1"/>
  <c r="H7" i="1"/>
  <c r="E9" i="1"/>
  <c r="D9" i="1"/>
  <c r="F8" i="1"/>
  <c r="F7" i="1"/>
  <c r="F6" i="1" s="1"/>
  <c r="F12" i="1" s="1"/>
  <c r="E7" i="1"/>
  <c r="D7" i="1"/>
  <c r="E20" i="1" l="1"/>
  <c r="F19" i="1"/>
  <c r="F25" i="1" s="1"/>
  <c r="D20" i="1"/>
  <c r="R10" i="1"/>
  <c r="Q12" i="1"/>
  <c r="M12" i="1"/>
  <c r="N10" i="1"/>
  <c r="F23" i="1"/>
  <c r="J10" i="1"/>
  <c r="J12" i="1"/>
  <c r="I12" i="1"/>
  <c r="H12" i="1"/>
  <c r="E12" i="1"/>
  <c r="F10" i="1"/>
  <c r="P20" i="1" l="1"/>
  <c r="F24" i="1"/>
  <c r="E24" i="1"/>
  <c r="F21" i="1"/>
  <c r="R13" i="1"/>
  <c r="J13" i="1"/>
  <c r="N13" i="1"/>
  <c r="F13" i="1"/>
  <c r="H19" i="1" l="1"/>
  <c r="H24" i="1" l="1"/>
  <c r="H21" i="1"/>
  <c r="H25" i="1"/>
  <c r="N19" i="1"/>
  <c r="N21" i="1" l="1"/>
  <c r="N25" i="1"/>
  <c r="P8" i="1" l="1"/>
  <c r="P10" i="1" s="1"/>
  <c r="P12" i="1" s="1"/>
  <c r="P13" i="1" l="1"/>
  <c r="Q8" i="1"/>
  <c r="Q10" i="1" s="1"/>
  <c r="Q6" i="1"/>
  <c r="Q11" i="1" s="1"/>
  <c r="Q13" i="1" l="1"/>
  <c r="D6" i="1" l="1"/>
  <c r="D8" i="1" l="1"/>
  <c r="D10" i="1" l="1"/>
  <c r="D12" i="1" s="1"/>
  <c r="D24" i="1" s="1"/>
  <c r="D13" i="1"/>
  <c r="E8" i="1" l="1"/>
  <c r="E6" i="1"/>
  <c r="E11" i="1" s="1"/>
  <c r="E10" i="1" l="1"/>
  <c r="E13" i="1" s="1"/>
  <c r="L6" i="1"/>
  <c r="L11" i="1" s="1"/>
  <c r="L8" i="1" l="1"/>
  <c r="L10" i="1" s="1"/>
  <c r="L13" i="1" l="1"/>
  <c r="M8" i="1" l="1"/>
  <c r="M10" i="1" s="1"/>
  <c r="M6" i="1"/>
  <c r="M11" i="1" s="1"/>
  <c r="M13" i="1" l="1"/>
  <c r="H6" i="1"/>
  <c r="H11" i="1" l="1"/>
  <c r="D23" i="1" s="1"/>
  <c r="H8" i="1"/>
  <c r="D19" i="1" s="1"/>
  <c r="H10" i="1" l="1"/>
  <c r="D25" i="1"/>
  <c r="H13" i="1" l="1"/>
  <c r="D21" i="1"/>
  <c r="I8" i="1" l="1"/>
  <c r="E19" i="1" s="1"/>
  <c r="E21" i="1" s="1"/>
  <c r="I6" i="1"/>
  <c r="I11" i="1" s="1"/>
  <c r="E23" i="1" s="1"/>
  <c r="I10" i="1" l="1"/>
  <c r="E25" i="1" l="1"/>
  <c r="I13" i="1"/>
  <c r="L19" i="1" l="1"/>
  <c r="L21" i="1" l="1"/>
  <c r="L25" i="1"/>
  <c r="P19" i="1"/>
  <c r="P25" i="1" s="1"/>
  <c r="P21" i="1" l="1"/>
</calcChain>
</file>

<file path=xl/sharedStrings.xml><?xml version="1.0" encoding="utf-8"?>
<sst xmlns="http://schemas.openxmlformats.org/spreadsheetml/2006/main" count="75" uniqueCount="51">
  <si>
    <t xml:space="preserve">WIOA Area 16 </t>
  </si>
  <si>
    <t>Belmont</t>
  </si>
  <si>
    <t>Available to spend</t>
  </si>
  <si>
    <t>Spent</t>
  </si>
  <si>
    <t>Must Spend by 6/30/24</t>
  </si>
  <si>
    <t>Remaining-broken out below:</t>
  </si>
  <si>
    <t>Must Spend by 6/30/25</t>
  </si>
  <si>
    <t>Adult</t>
  </si>
  <si>
    <t>DW</t>
  </si>
  <si>
    <t>Youth</t>
  </si>
  <si>
    <t>hide</t>
  </si>
  <si>
    <t>Carroll</t>
  </si>
  <si>
    <t>Harrison</t>
  </si>
  <si>
    <t>Jefferson</t>
  </si>
  <si>
    <t>Total Formula, from above</t>
  </si>
  <si>
    <t>% Spent overall</t>
  </si>
  <si>
    <t>Must Spend</t>
  </si>
  <si>
    <t>Business</t>
  </si>
  <si>
    <t>RESEA</t>
  </si>
  <si>
    <t xml:space="preserve"> by 9/30/24</t>
  </si>
  <si>
    <t>Area Total</t>
  </si>
  <si>
    <t>Notes:</t>
  </si>
  <si>
    <t xml:space="preserve">Have </t>
  </si>
  <si>
    <t xml:space="preserve">Opioid/Fresh </t>
  </si>
  <si>
    <t>Area Totals below:</t>
  </si>
  <si>
    <t>Admin*</t>
  </si>
  <si>
    <t>Admin is 10% of the Adult/DW/Youth and is used for area operation, outreach and county cost allocation.</t>
  </si>
  <si>
    <t>of DW to give to first county(ies) who need, must be spent by 6/30/24.</t>
  </si>
  <si>
    <t xml:space="preserve">Additional </t>
  </si>
  <si>
    <t>Grants&gt;</t>
  </si>
  <si>
    <t>y</t>
  </si>
  <si>
    <t>Below Approved Fall COG</t>
  </si>
  <si>
    <t>New Winter Q:</t>
  </si>
  <si>
    <t>DW*</t>
  </si>
  <si>
    <t>RESEA unused at 9/30/23 was extended by state to 3/2024</t>
  </si>
  <si>
    <t>Used the old 53,114 above DW (Jeff) but kept back same of new=no change</t>
  </si>
  <si>
    <t>Rebranding - each county gets $4K, Area $1K=total $17K</t>
  </si>
  <si>
    <t>Got in January a third increment of Opioid/Fresh Start, $217,949.  State plans to ask for 1 year extension to March 2025</t>
  </si>
  <si>
    <t>Admin to Carroll =county cost allocation plan.</t>
  </si>
  <si>
    <t>New Sp Q</t>
  </si>
  <si>
    <t>DW Admin, must be spent by 6/30/25.</t>
  </si>
  <si>
    <t>Fresh Admin, must be spent by 6/30/24.</t>
  </si>
  <si>
    <t>February 2024 Expenditures</t>
  </si>
  <si>
    <t>of DW (includes 53,114 above)to give to first county(ies) who need, must be spent by 6/30/25.</t>
  </si>
  <si>
    <t>Allocations to approve, Spring (no Winter COG):</t>
  </si>
  <si>
    <t>20K BRN = released 15K to State; cover Hot spot; rest undecided</t>
  </si>
  <si>
    <t>Got in State RR to DW distribution:</t>
  </si>
  <si>
    <t>DW Admin</t>
  </si>
  <si>
    <t>DW must be used by 6/30/24; took $12K youth to Belmont</t>
  </si>
  <si>
    <t>Youth got from request to State from other areas' unused (ask was $225K)</t>
  </si>
  <si>
    <t xml:space="preserve"> by 3/31/25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</si>
</sst>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43" fontId="0" fillId="0" borderId="0" xfId="0" applyNumberFormat="1"/>
    <xf numFmtId="4" fontId="0" fillId="0" borderId="1" xfId="0" applyNumberFormat="1" applyBorder="1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0" xfId="0" applyNumberFormat="1" applyFont="1"/>
    <xf numFmtId="4" fontId="2" fillId="0" borderId="6" xfId="0" applyNumberFormat="1" applyFont="1" applyBorder="1"/>
    <xf numFmtId="4" fontId="2" fillId="0" borderId="1" xfId="0" applyNumberFormat="1" applyFont="1" applyBorder="1"/>
    <xf numFmtId="4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9" fontId="2" fillId="0" borderId="9" xfId="1" applyFont="1" applyBorder="1"/>
    <xf numFmtId="9" fontId="2" fillId="0" borderId="10" xfId="1" applyFont="1" applyBorder="1"/>
    <xf numFmtId="39" fontId="2" fillId="0" borderId="0" xfId="0" applyNumberFormat="1" applyFont="1"/>
    <xf numFmtId="39" fontId="2" fillId="0" borderId="6" xfId="0" applyNumberFormat="1" applyFont="1" applyBorder="1"/>
    <xf numFmtId="43" fontId="2" fillId="0" borderId="0" xfId="0" applyNumberFormat="1" applyFont="1"/>
    <xf numFmtId="164" fontId="1" fillId="0" borderId="0" xfId="2" applyNumberFormat="1" applyFont="1"/>
    <xf numFmtId="0" fontId="0" fillId="2" borderId="0" xfId="0" applyFill="1"/>
    <xf numFmtId="4" fontId="0" fillId="2" borderId="0" xfId="0" applyNumberFormat="1" applyFill="1"/>
    <xf numFmtId="43" fontId="0" fillId="2" borderId="0" xfId="0" applyNumberFormat="1" applyFill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164" fontId="0" fillId="0" borderId="0" xfId="2" applyNumberFormat="1" applyFont="1"/>
    <xf numFmtId="3" fontId="0" fillId="0" borderId="0" xfId="0" applyNumberFormat="1"/>
    <xf numFmtId="0" fontId="4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3177</xdr:colOff>
      <xdr:row>2</xdr:row>
      <xdr:rowOff>61912</xdr:rowOff>
    </xdr:from>
    <xdr:to>
      <xdr:col>3</xdr:col>
      <xdr:colOff>546097</xdr:colOff>
      <xdr:row>9</xdr:row>
      <xdr:rowOff>73456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57E8EF-B86D-4B2C-8C58-652B0FA57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7815" y="4708525"/>
          <a:ext cx="2373307" cy="13132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beccaSafko\Documents\Area16%2023-24\Belmont%202023-24.xlsx" TargetMode="External"/><Relationship Id="rId1" Type="http://schemas.openxmlformats.org/officeDocument/2006/relationships/externalLinkPath" Target="/Users/RebeccaSafko/Documents/Area16%2023-24/Belmont%20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beccaSafko\Documents\Area16%2023-24\Carroll%202023-24.xlsx" TargetMode="External"/><Relationship Id="rId1" Type="http://schemas.openxmlformats.org/officeDocument/2006/relationships/externalLinkPath" Target="/Users/RebeccaSafko/Documents/Area16%2023-24/Carroll%202023-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beccaSafko\Documents\Area16%2023-24\Harrison%202023-24.xlsx" TargetMode="External"/><Relationship Id="rId1" Type="http://schemas.openxmlformats.org/officeDocument/2006/relationships/externalLinkPath" Target="/Users/RebeccaSafko/Documents/Area16%2023-24/Harrison%202023-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beccaSafko\Documents\Area16%2023-24\Jefferson%202023-24.xlsx" TargetMode="External"/><Relationship Id="rId1" Type="http://schemas.openxmlformats.org/officeDocument/2006/relationships/externalLinkPath" Target="/Users/RebeccaSafko/Documents/Area16%2023-24/Jefferson%202023-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beccaSafko\Documents\Area16%2023-24\Fiscal%202023-24.xlsx" TargetMode="External"/><Relationship Id="rId1" Type="http://schemas.openxmlformats.org/officeDocument/2006/relationships/externalLinkPath" Target="/Users/RebeccaSafko/Documents/Area16%2023-24/Fiscal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Allocation Sheet"/>
      <sheetName val="23-24 Contract"/>
      <sheetName val="Draw"/>
      <sheetName val="Bill List-Formula"/>
      <sheetName val="Expenditure"/>
      <sheetName val="Cash on Hand"/>
      <sheetName val="WIOA CCMEP"/>
      <sheetName val="Shard or RMSacc"/>
      <sheetName val="TANF CCMEP"/>
      <sheetName val="Omni Circ Cont Descrip"/>
      <sheetName val="Prog Inc-Stand In"/>
      <sheetName val="One-Stop"/>
      <sheetName val="entry"/>
      <sheetName val="entry FA"/>
    </sheetNames>
    <sheetDataSet>
      <sheetData sheetId="0"/>
      <sheetData sheetId="1"/>
      <sheetData sheetId="2"/>
      <sheetData sheetId="3">
        <row r="10">
          <cell r="D10">
            <v>40643</v>
          </cell>
          <cell r="E10">
            <v>166011</v>
          </cell>
          <cell r="N10">
            <v>453057.9</v>
          </cell>
        </row>
        <row r="11">
          <cell r="D11">
            <v>30839</v>
          </cell>
          <cell r="E11">
            <v>112154</v>
          </cell>
          <cell r="N11">
            <v>365433.12</v>
          </cell>
        </row>
        <row r="12">
          <cell r="D12">
            <v>190482</v>
          </cell>
          <cell r="N12">
            <v>536526.71</v>
          </cell>
        </row>
      </sheetData>
      <sheetData sheetId="4"/>
      <sheetData sheetId="5"/>
      <sheetData sheetId="6"/>
      <sheetData sheetId="7">
        <row r="5">
          <cell r="C5">
            <v>365433.12</v>
          </cell>
          <cell r="D5">
            <v>94062.010000000009</v>
          </cell>
          <cell r="E5">
            <v>442464.69999999995</v>
          </cell>
        </row>
        <row r="18">
          <cell r="B18">
            <v>270865.96999999997</v>
          </cell>
          <cell r="C18">
            <v>80897.55</v>
          </cell>
          <cell r="D18">
            <v>301974.61000000004</v>
          </cell>
          <cell r="E18">
            <v>131468.43</v>
          </cell>
        </row>
        <row r="26">
          <cell r="E2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Allocation Sheet"/>
      <sheetName val="Draw"/>
      <sheetName val="Bill List-Formula"/>
      <sheetName val="Expenditure"/>
      <sheetName val="WIOA CCMEP"/>
      <sheetName val="TANF CCMEP"/>
      <sheetName val="Shard or RMSacc"/>
      <sheetName val="Cash on Hand"/>
      <sheetName val="Omni Circ Cont Descrip"/>
      <sheetName val="Prog Inc-Stand In"/>
      <sheetName val="One-Stop"/>
      <sheetName val="entry"/>
      <sheetName val="entry FA"/>
    </sheetNames>
    <sheetDataSet>
      <sheetData sheetId="0"/>
      <sheetData sheetId="1"/>
      <sheetData sheetId="2"/>
      <sheetData sheetId="3">
        <row r="10">
          <cell r="D10">
            <v>16255</v>
          </cell>
          <cell r="E10">
            <v>66393</v>
          </cell>
          <cell r="N10">
            <v>194469.37999999995</v>
          </cell>
        </row>
        <row r="11">
          <cell r="D11">
            <v>12715</v>
          </cell>
          <cell r="E11">
            <v>46247</v>
          </cell>
          <cell r="N11">
            <v>140999.09999999998</v>
          </cell>
        </row>
        <row r="12">
          <cell r="D12">
            <v>82901</v>
          </cell>
          <cell r="N12">
            <v>169448.5</v>
          </cell>
        </row>
      </sheetData>
      <sheetData sheetId="4"/>
      <sheetData sheetId="5"/>
      <sheetData sheetId="6">
        <row r="5">
          <cell r="C5">
            <v>140999.09999999998</v>
          </cell>
          <cell r="D5">
            <v>173163.86</v>
          </cell>
          <cell r="E5">
            <v>-3715.359999999986</v>
          </cell>
        </row>
        <row r="18">
          <cell r="B18">
            <v>60027.31</v>
          </cell>
          <cell r="C18">
            <v>20030.580000000002</v>
          </cell>
          <cell r="D18">
            <v>39526.07</v>
          </cell>
          <cell r="E18">
            <v>23146.21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Allocation Sheet"/>
      <sheetName val="CFIS codes"/>
      <sheetName val="Draw"/>
      <sheetName val="Bill List-Formula"/>
      <sheetName val="Expenditure"/>
      <sheetName val="WIOA CCMEP"/>
      <sheetName val="Cash on Hand"/>
      <sheetName val="TANF CCMEP"/>
      <sheetName val="Shard or RMSacc"/>
      <sheetName val="Omni Circ Cont Descrip"/>
      <sheetName val="Prog Inc-Stand In"/>
      <sheetName val="One-Stop"/>
      <sheetName val="entry"/>
      <sheetName val="entry FA"/>
    </sheetNames>
    <sheetDataSet>
      <sheetData sheetId="0"/>
      <sheetData sheetId="1"/>
      <sheetData sheetId="2">
        <row r="10">
          <cell r="D10">
            <v>10543</v>
          </cell>
          <cell r="E10">
            <v>43060</v>
          </cell>
          <cell r="N10">
            <v>130565.36</v>
          </cell>
        </row>
        <row r="11">
          <cell r="D11">
            <v>9826</v>
          </cell>
          <cell r="E11">
            <v>35740</v>
          </cell>
          <cell r="N11">
            <v>105039.22</v>
          </cell>
        </row>
        <row r="12">
          <cell r="D12">
            <v>59864</v>
          </cell>
          <cell r="N12">
            <v>92834.08</v>
          </cell>
        </row>
      </sheetData>
      <sheetData sheetId="3"/>
      <sheetData sheetId="4"/>
      <sheetData sheetId="5"/>
      <sheetData sheetId="6">
        <row r="5">
          <cell r="C5">
            <v>105039.22</v>
          </cell>
          <cell r="D5">
            <v>72810.425000000003</v>
          </cell>
          <cell r="E5">
            <v>20023.654999999999</v>
          </cell>
        </row>
        <row r="18">
          <cell r="B18">
            <v>40937.07</v>
          </cell>
          <cell r="C18">
            <v>35791.68</v>
          </cell>
          <cell r="D18">
            <v>18515.489999999998</v>
          </cell>
          <cell r="E18">
            <v>29298.880000000001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Allocation Sheet"/>
      <sheetName val="Bill List-Formula"/>
      <sheetName val="Draw"/>
      <sheetName val="WIOA CCMEP"/>
      <sheetName val="Expenditure"/>
      <sheetName val="Cash on Hand"/>
      <sheetName val="TANF CCMEP"/>
      <sheetName val="Shard or RMSacc"/>
      <sheetName val="Omni Circ Cont Descrip"/>
      <sheetName val="Prog Inc-Stand In"/>
      <sheetName val="One-Stop"/>
      <sheetName val="entry"/>
      <sheetName val="entry FA"/>
    </sheetNames>
    <sheetDataSet>
      <sheetData sheetId="0"/>
      <sheetData sheetId="1"/>
      <sheetData sheetId="2"/>
      <sheetData sheetId="3">
        <row r="10">
          <cell r="D10">
            <v>44451</v>
          </cell>
          <cell r="E10">
            <v>181563</v>
          </cell>
          <cell r="N10">
            <v>460453.54000000004</v>
          </cell>
        </row>
        <row r="11">
          <cell r="D11">
            <v>37182</v>
          </cell>
          <cell r="E11">
            <v>82118</v>
          </cell>
          <cell r="N11">
            <v>472512.95999999996</v>
          </cell>
        </row>
        <row r="12">
          <cell r="D12">
            <v>256118</v>
          </cell>
          <cell r="N12">
            <v>522099.4</v>
          </cell>
        </row>
      </sheetData>
      <sheetData sheetId="4"/>
      <sheetData sheetId="5"/>
      <sheetData sheetId="6"/>
      <sheetData sheetId="7">
        <row r="5">
          <cell r="C5">
            <v>472512.95999999996</v>
          </cell>
          <cell r="D5">
            <v>218349.05499999999</v>
          </cell>
          <cell r="E5">
            <v>303750.34500000003</v>
          </cell>
          <cell r="F5">
            <v>3013.46</v>
          </cell>
          <cell r="G5">
            <v>414103</v>
          </cell>
        </row>
        <row r="18">
          <cell r="B18">
            <v>323185.76</v>
          </cell>
          <cell r="C18">
            <v>148565.79</v>
          </cell>
          <cell r="D18">
            <v>66428.31</v>
          </cell>
          <cell r="E18">
            <v>164551.09</v>
          </cell>
          <cell r="F18">
            <v>3013.46</v>
          </cell>
          <cell r="G18">
            <v>231142.12</v>
          </cell>
        </row>
        <row r="26">
          <cell r="E26">
            <v>8789.3299999999872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entry FA"/>
      <sheetName val="Bill List-Formula"/>
      <sheetName val="Expenditure"/>
      <sheetName val="Allocation Sheet"/>
      <sheetName val="Draw"/>
      <sheetName val="WIOA CCMEP"/>
      <sheetName val="TANF CCMEP"/>
      <sheetName val="Shard or RMSacc"/>
      <sheetName val="Cash on Hand"/>
      <sheetName val="Omni Circ Cont Descrip"/>
      <sheetName val="Prog Inc-Stand In"/>
      <sheetName val="One-Stop"/>
      <sheetName val="entry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144808.74</v>
          </cell>
          <cell r="C5">
            <v>116848</v>
          </cell>
          <cell r="D5">
            <v>77955</v>
          </cell>
          <cell r="E5">
            <v>65485</v>
          </cell>
          <cell r="F5">
            <v>1280</v>
          </cell>
          <cell r="G5">
            <v>0</v>
          </cell>
          <cell r="K5">
            <v>105455</v>
          </cell>
          <cell r="L5">
            <v>117253.51</v>
          </cell>
          <cell r="M5">
            <v>10150.89</v>
          </cell>
        </row>
        <row r="18">
          <cell r="B18">
            <v>81594.740000000005</v>
          </cell>
          <cell r="C18">
            <v>60248</v>
          </cell>
          <cell r="D18">
            <v>17334.55</v>
          </cell>
          <cell r="E18">
            <v>0</v>
          </cell>
          <cell r="F18">
            <v>1280</v>
          </cell>
          <cell r="G18">
            <v>0</v>
          </cell>
          <cell r="K18">
            <v>62541</v>
          </cell>
          <cell r="L18">
            <v>63676.05</v>
          </cell>
          <cell r="M18">
            <v>10150.89</v>
          </cell>
        </row>
      </sheetData>
      <sheetData sheetId="6">
        <row r="14">
          <cell r="C14">
            <v>81594.740000000005</v>
          </cell>
        </row>
        <row r="15">
          <cell r="C15">
            <v>60248</v>
          </cell>
        </row>
        <row r="16">
          <cell r="C16">
            <v>77955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8F6E-2DBB-4EB4-B0B4-46A1522E82BA}">
  <sheetPr>
    <pageSetUpPr fitToPage="1"/>
  </sheetPr>
  <dimension ref="A1:R44"/>
  <sheetViews>
    <sheetView tabSelected="1" workbookViewId="0">
      <selection activeCell="E14" sqref="E14"/>
    </sheetView>
  </sheetViews>
  <sheetFormatPr defaultRowHeight="15" x14ac:dyDescent="0.25"/>
  <cols>
    <col min="3" max="3" width="8.28515625" customWidth="1"/>
    <col min="4" max="4" width="13.140625" customWidth="1"/>
    <col min="5" max="5" width="12.28515625" customWidth="1"/>
    <col min="6" max="6" width="11.85546875" customWidth="1"/>
    <col min="7" max="7" width="2" customWidth="1"/>
    <col min="8" max="8" width="13" customWidth="1"/>
    <col min="9" max="10" width="10.85546875" bestFit="1" customWidth="1"/>
    <col min="11" max="11" width="4.85546875" customWidth="1"/>
    <col min="12" max="14" width="10.85546875" bestFit="1" customWidth="1"/>
    <col min="15" max="15" width="2.140625" customWidth="1"/>
    <col min="16" max="16" width="14.42578125" customWidth="1"/>
    <col min="17" max="17" width="12.5703125" customWidth="1"/>
    <col min="18" max="18" width="13.5703125" customWidth="1"/>
  </cols>
  <sheetData>
    <row r="1" spans="1:18" s="5" customFormat="1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5" customFormat="1" ht="21" x14ac:dyDescent="0.3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4" spans="1:18" x14ac:dyDescent="0.25">
      <c r="D4" s="4" t="s">
        <v>1</v>
      </c>
      <c r="H4" s="4" t="s">
        <v>11</v>
      </c>
      <c r="L4" s="4" t="s">
        <v>12</v>
      </c>
      <c r="P4" s="4" t="s">
        <v>13</v>
      </c>
    </row>
    <row r="5" spans="1:18" x14ac:dyDescent="0.25">
      <c r="D5" t="s">
        <v>7</v>
      </c>
      <c r="E5" t="s">
        <v>8</v>
      </c>
      <c r="F5" t="s">
        <v>9</v>
      </c>
      <c r="H5" t="s">
        <v>7</v>
      </c>
      <c r="I5" t="s">
        <v>8</v>
      </c>
      <c r="J5" t="s">
        <v>9</v>
      </c>
      <c r="L5" t="s">
        <v>7</v>
      </c>
      <c r="M5" t="s">
        <v>8</v>
      </c>
      <c r="N5" t="s">
        <v>9</v>
      </c>
      <c r="P5" t="s">
        <v>7</v>
      </c>
      <c r="Q5" t="s">
        <v>8</v>
      </c>
      <c r="R5" t="s">
        <v>9</v>
      </c>
    </row>
    <row r="6" spans="1:18" s="23" customFormat="1" hidden="1" x14ac:dyDescent="0.25">
      <c r="A6" s="23" t="s">
        <v>10</v>
      </c>
      <c r="D6" s="24">
        <f>'[1]Allocation Sheet'!$N$10-D7</f>
        <v>246403.90000000002</v>
      </c>
      <c r="E6" s="24">
        <f>'[1]Allocation Sheet'!$N$11-E7</f>
        <v>222440.12</v>
      </c>
      <c r="F6" s="24">
        <f>'[1]Allocation Sheet'!$N$12-F7</f>
        <v>346044.70999999996</v>
      </c>
      <c r="H6" s="24">
        <f>'[2]Allocation Sheet'!$N$10-H7</f>
        <v>111821.37999999995</v>
      </c>
      <c r="I6" s="24">
        <f>'[2]Allocation Sheet'!$N$11-I7</f>
        <v>82037.099999999977</v>
      </c>
      <c r="J6" s="24">
        <f>'[2]Allocation Sheet'!$N$12-J7</f>
        <v>86547.5</v>
      </c>
      <c r="L6" s="24">
        <f>'[3]Allocation Sheet'!$N$10-L7</f>
        <v>76962.36</v>
      </c>
      <c r="M6" s="24">
        <f>'[3]Allocation Sheet'!$N$11-M7</f>
        <v>59473.22</v>
      </c>
      <c r="N6" s="24">
        <f>'[3]Allocation Sheet'!$N$12-N7</f>
        <v>32970.080000000002</v>
      </c>
      <c r="P6" s="24">
        <f>'[4]Allocation Sheet'!$N$10-P7</f>
        <v>260181.28000000003</v>
      </c>
      <c r="Q6" s="24">
        <f>'[4]Allocation Sheet'!$N$11-Q7</f>
        <v>353212.95999999996</v>
      </c>
      <c r="R6" s="24">
        <f>'[4]Allocation Sheet'!$N$12-R7</f>
        <v>265981.40000000002</v>
      </c>
    </row>
    <row r="7" spans="1:18" s="23" customFormat="1" hidden="1" x14ac:dyDescent="0.25">
      <c r="A7" s="23" t="s">
        <v>10</v>
      </c>
      <c r="D7" s="24">
        <f>'[1]Allocation Sheet'!$D$10+'[1]Allocation Sheet'!$E$10</f>
        <v>206654</v>
      </c>
      <c r="E7" s="25">
        <f>'[1]Allocation Sheet'!$D$11+'[1]Allocation Sheet'!$E$11</f>
        <v>142993</v>
      </c>
      <c r="F7" s="25">
        <f>'[1]Allocation Sheet'!$D$12+'[1]Allocation Sheet'!$E$12</f>
        <v>190482</v>
      </c>
      <c r="H7" s="24">
        <f>'[2]Allocation Sheet'!$D$10+'[2]Allocation Sheet'!$E$10</f>
        <v>82648</v>
      </c>
      <c r="I7" s="25">
        <f>'[2]Allocation Sheet'!$D$11+'[2]Allocation Sheet'!$E$11</f>
        <v>58962</v>
      </c>
      <c r="J7" s="25">
        <f>'[2]Allocation Sheet'!$D$12+'[2]Allocation Sheet'!$E$12</f>
        <v>82901</v>
      </c>
      <c r="L7" s="24">
        <f>'[3]Allocation Sheet'!$D$10+'[3]Allocation Sheet'!$E$10</f>
        <v>53603</v>
      </c>
      <c r="M7" s="25">
        <f>'[3]Allocation Sheet'!$D$11+'[3]Allocation Sheet'!$E$11</f>
        <v>45566</v>
      </c>
      <c r="N7" s="25">
        <f>'[3]Allocation Sheet'!$D$12+'[3]Allocation Sheet'!$E$12</f>
        <v>59864</v>
      </c>
      <c r="P7" s="24">
        <f>'[4]Allocation Sheet'!$D$10+'[4]Allocation Sheet'!$E$10-25741.74</f>
        <v>200272.26</v>
      </c>
      <c r="Q7" s="25">
        <f>'[4]Allocation Sheet'!$D$11+'[4]Allocation Sheet'!$E$11</f>
        <v>119300</v>
      </c>
      <c r="R7" s="25">
        <f>'[4]Allocation Sheet'!$D$12+'[4]Allocation Sheet'!$E$12</f>
        <v>256118</v>
      </c>
    </row>
    <row r="8" spans="1:18" x14ac:dyDescent="0.25">
      <c r="A8" t="s">
        <v>2</v>
      </c>
      <c r="D8" s="1">
        <f>SUM(D6:D7)</f>
        <v>453057.9</v>
      </c>
      <c r="E8" s="1">
        <f>[1]Expenditure!$C$5</f>
        <v>365433.12</v>
      </c>
      <c r="F8" s="1">
        <f>[1]Expenditure!$D$5+[1]Expenditure!$E$5</f>
        <v>536526.71</v>
      </c>
      <c r="H8" s="1">
        <f>SUM(H6:H7)</f>
        <v>194469.37999999995</v>
      </c>
      <c r="I8" s="1">
        <f>[2]Expenditure!$C$5</f>
        <v>140999.09999999998</v>
      </c>
      <c r="J8" s="1">
        <f>[2]Expenditure!$D$5+[2]Expenditure!$E$5</f>
        <v>169448.5</v>
      </c>
      <c r="L8" s="1">
        <f>SUM(L6:L7)</f>
        <v>130565.36</v>
      </c>
      <c r="M8" s="1">
        <f>[3]Expenditure!$C$5</f>
        <v>105039.22</v>
      </c>
      <c r="N8" s="1">
        <f>[3]Expenditure!$D$5+[3]Expenditure!$E$5</f>
        <v>92834.08</v>
      </c>
      <c r="P8" s="1">
        <f>SUM(P6:P7)</f>
        <v>460453.54000000004</v>
      </c>
      <c r="Q8" s="1">
        <f>[4]Expenditure!$C$5</f>
        <v>472512.95999999996</v>
      </c>
      <c r="R8" s="1">
        <f>[4]Expenditure!$D$5+[4]Expenditure!$E$5</f>
        <v>522099.4</v>
      </c>
    </row>
    <row r="9" spans="1:18" x14ac:dyDescent="0.25">
      <c r="A9" t="s">
        <v>3</v>
      </c>
      <c r="D9" s="2">
        <f>-[1]Expenditure!$B$18</f>
        <v>-270865.96999999997</v>
      </c>
      <c r="E9" s="2">
        <f>-[1]Expenditure!$C$18</f>
        <v>-80897.55</v>
      </c>
      <c r="F9" s="2">
        <f>-[1]Expenditure!$D$18-[1]Expenditure!$E$18</f>
        <v>-433443.04000000004</v>
      </c>
      <c r="H9" s="2">
        <f>-[2]Expenditure!$B$18</f>
        <v>-60027.31</v>
      </c>
      <c r="I9" s="2">
        <f>-[2]Expenditure!$C$18</f>
        <v>-20030.580000000002</v>
      </c>
      <c r="J9" s="2">
        <f>-[2]Expenditure!$D$18-[2]Expenditure!$E$18</f>
        <v>-62672.28</v>
      </c>
      <c r="L9" s="2">
        <f>-[3]Expenditure!$B$18</f>
        <v>-40937.07</v>
      </c>
      <c r="M9" s="2">
        <f>-[3]Expenditure!$C$18</f>
        <v>-35791.68</v>
      </c>
      <c r="N9" s="2">
        <f>-[3]Expenditure!$D$18-[3]Expenditure!$E$18</f>
        <v>-47814.369999999995</v>
      </c>
      <c r="P9" s="2">
        <f>-[4]Expenditure!$B$18</f>
        <v>-323185.76</v>
      </c>
      <c r="Q9" s="2">
        <f>-[4]Expenditure!$C$18</f>
        <v>-148565.79</v>
      </c>
      <c r="R9" s="2">
        <f>-[4]Expenditure!$D$18-[4]Expenditure!$E$18</f>
        <v>-230979.4</v>
      </c>
    </row>
    <row r="10" spans="1:18" ht="15.75" thickBot="1" x14ac:dyDescent="0.3">
      <c r="A10" t="s">
        <v>5</v>
      </c>
      <c r="D10" s="3">
        <f>SUM(D8:D9)</f>
        <v>182191.93000000005</v>
      </c>
      <c r="E10" s="3">
        <f t="shared" ref="E10:F10" si="0">SUM(E8:E9)</f>
        <v>284535.57</v>
      </c>
      <c r="F10" s="3">
        <f t="shared" si="0"/>
        <v>103083.66999999993</v>
      </c>
      <c r="H10" s="3">
        <f>SUM(H8:H9)</f>
        <v>134442.06999999995</v>
      </c>
      <c r="I10" s="3">
        <f t="shared" ref="I10" si="1">SUM(I8:I9)</f>
        <v>120968.51999999997</v>
      </c>
      <c r="J10" s="3">
        <f t="shared" ref="J10" si="2">SUM(J8:J9)</f>
        <v>106776.22</v>
      </c>
      <c r="L10" s="3">
        <f>SUM(L8:L9)</f>
        <v>89628.290000000008</v>
      </c>
      <c r="M10" s="3">
        <f t="shared" ref="M10" si="3">SUM(M8:M9)</f>
        <v>69247.540000000008</v>
      </c>
      <c r="N10" s="3">
        <f t="shared" ref="N10" si="4">SUM(N8:N9)</f>
        <v>45019.710000000006</v>
      </c>
      <c r="P10" s="3">
        <f>SUM(P8:P9)</f>
        <v>137267.78000000003</v>
      </c>
      <c r="Q10" s="3">
        <f t="shared" ref="Q10" si="5">SUM(Q8:Q9)</f>
        <v>323947.16999999993</v>
      </c>
      <c r="R10" s="3">
        <f t="shared" ref="R10" si="6">SUM(R8:R9)</f>
        <v>291120</v>
      </c>
    </row>
    <row r="11" spans="1:18" ht="15.75" thickTop="1" x14ac:dyDescent="0.25">
      <c r="A11" t="s">
        <v>4</v>
      </c>
      <c r="D11" s="2">
        <v>0</v>
      </c>
      <c r="E11" s="2">
        <f>E6+E9</f>
        <v>141542.57</v>
      </c>
      <c r="F11" s="2">
        <f>[1]Expenditure!$E$26</f>
        <v>0</v>
      </c>
      <c r="H11" s="2">
        <f>H6+H9</f>
        <v>51794.069999999949</v>
      </c>
      <c r="I11" s="2">
        <f>I6+I9</f>
        <v>62006.519999999975</v>
      </c>
      <c r="J11" s="2">
        <f>J6+J9</f>
        <v>23875.22</v>
      </c>
      <c r="L11" s="2">
        <f>L6+L9</f>
        <v>36025.29</v>
      </c>
      <c r="M11" s="2">
        <f>M6+M9</f>
        <v>23681.54</v>
      </c>
      <c r="N11" s="2"/>
      <c r="P11" s="2">
        <v>0</v>
      </c>
      <c r="Q11" s="2">
        <f>Q6+Q9</f>
        <v>204647.16999999995</v>
      </c>
      <c r="R11" s="2">
        <f>[4]Expenditure!$E$26</f>
        <v>8789.3299999999872</v>
      </c>
    </row>
    <row r="12" spans="1:18" x14ac:dyDescent="0.25">
      <c r="A12" t="s">
        <v>6</v>
      </c>
      <c r="D12" s="1">
        <f>D10</f>
        <v>182191.93000000005</v>
      </c>
      <c r="E12" s="1">
        <f>E7</f>
        <v>142993</v>
      </c>
      <c r="F12" s="1">
        <f>F6+F7+F9-F11</f>
        <v>103083.66999999993</v>
      </c>
      <c r="H12" s="1">
        <f>H7</f>
        <v>82648</v>
      </c>
      <c r="I12" s="1">
        <f>I7</f>
        <v>58962</v>
      </c>
      <c r="J12" s="1">
        <f>J7</f>
        <v>82901</v>
      </c>
      <c r="L12" s="1">
        <f>L7</f>
        <v>53603</v>
      </c>
      <c r="M12" s="1">
        <f>M7</f>
        <v>45566</v>
      </c>
      <c r="N12" s="1">
        <f>N6+N7+N9-N11</f>
        <v>45019.710000000006</v>
      </c>
      <c r="P12" s="1">
        <f>P10</f>
        <v>137267.78000000003</v>
      </c>
      <c r="Q12" s="1">
        <f>Q7</f>
        <v>119300</v>
      </c>
      <c r="R12" s="1">
        <f>R6+R7+R9-R11</f>
        <v>282330.67000000004</v>
      </c>
    </row>
    <row r="13" spans="1:18" s="23" customFormat="1" hidden="1" x14ac:dyDescent="0.25">
      <c r="A13" s="23" t="s">
        <v>10</v>
      </c>
      <c r="D13" s="25">
        <f>D10-D11-D12</f>
        <v>0</v>
      </c>
      <c r="E13" s="25">
        <f>E10-E11-E12</f>
        <v>0</v>
      </c>
      <c r="F13" s="25">
        <f>F10-F11-F12</f>
        <v>0</v>
      </c>
      <c r="H13" s="25">
        <f>H10-H11-H12</f>
        <v>0</v>
      </c>
      <c r="I13" s="25">
        <f>I10-I11-I12</f>
        <v>0</v>
      </c>
      <c r="J13" s="25">
        <f>J10-J11-J12</f>
        <v>0</v>
      </c>
      <c r="L13" s="25">
        <f>L10-L11-L12</f>
        <v>0</v>
      </c>
      <c r="M13" s="25">
        <f>M10-M11-M12</f>
        <v>0</v>
      </c>
      <c r="N13" s="25">
        <f>N10-N11-N12</f>
        <v>0</v>
      </c>
      <c r="P13" s="25">
        <f>P10-P11-P12</f>
        <v>0</v>
      </c>
      <c r="Q13" s="25">
        <f>Q10-Q11-Q12</f>
        <v>0</v>
      </c>
      <c r="R13" s="25">
        <f>R10-R11-R12</f>
        <v>0</v>
      </c>
    </row>
    <row r="14" spans="1:18" x14ac:dyDescent="0.25">
      <c r="D14" s="2"/>
      <c r="E14" s="2"/>
      <c r="F14" s="2"/>
      <c r="H14" s="2"/>
      <c r="I14" s="2"/>
      <c r="J14" s="2"/>
      <c r="L14" s="2"/>
      <c r="M14" s="2"/>
      <c r="N14" s="2"/>
      <c r="P14" s="2"/>
      <c r="Q14" s="2"/>
      <c r="R14" s="2"/>
    </row>
    <row r="15" spans="1:18" s="4" customFormat="1" ht="15.75" thickBot="1" x14ac:dyDescent="0.3">
      <c r="A15" s="4" t="s">
        <v>24</v>
      </c>
    </row>
    <row r="16" spans="1:18" s="4" customFormat="1" x14ac:dyDescent="0.25">
      <c r="A16" s="6" t="s">
        <v>14</v>
      </c>
      <c r="B16" s="7"/>
      <c r="C16" s="7"/>
      <c r="D16" s="7" t="s">
        <v>7</v>
      </c>
      <c r="E16" s="7" t="s">
        <v>33</v>
      </c>
      <c r="F16" s="7" t="s">
        <v>9</v>
      </c>
      <c r="G16" s="7"/>
      <c r="H16" s="7" t="s">
        <v>25</v>
      </c>
      <c r="I16" s="7"/>
      <c r="J16" s="7" t="s">
        <v>28</v>
      </c>
      <c r="K16" s="7"/>
      <c r="L16" s="7" t="s">
        <v>23</v>
      </c>
      <c r="M16" s="7" t="s">
        <v>17</v>
      </c>
      <c r="N16" s="7" t="s">
        <v>18</v>
      </c>
      <c r="O16" s="7"/>
      <c r="P16" s="8" t="s">
        <v>20</v>
      </c>
    </row>
    <row r="17" spans="1:18" s="4" customFormat="1" x14ac:dyDescent="0.25">
      <c r="A17" s="9"/>
      <c r="P17" s="10"/>
    </row>
    <row r="18" spans="1:18" s="4" customFormat="1" x14ac:dyDescent="0.25">
      <c r="A18" s="9"/>
      <c r="P18" s="10"/>
    </row>
    <row r="19" spans="1:18" s="4" customFormat="1" x14ac:dyDescent="0.25">
      <c r="A19" s="9" t="s">
        <v>2</v>
      </c>
      <c r="D19" s="11">
        <f>D8+H8+L8+P8</f>
        <v>1238546.1800000002</v>
      </c>
      <c r="E19" s="11">
        <f>E8+I8+M8+Q8+C28</f>
        <v>1137098.3999999999</v>
      </c>
      <c r="F19" s="11">
        <f t="shared" ref="D19:F21" si="7">F8+J8+N8+R8</f>
        <v>1320908.69</v>
      </c>
      <c r="H19" s="11">
        <f>SUM([5]Expenditure!$B$5:$E$5)</f>
        <v>405096.74</v>
      </c>
      <c r="I19" s="11"/>
      <c r="J19" s="11" t="s">
        <v>29</v>
      </c>
      <c r="L19" s="11">
        <f>[4]Expenditure!$F$5+[4]Expenditure!$G$5+[5]Expenditure!$F$5+[5]Expenditure!$G$5</f>
        <v>418396.46</v>
      </c>
      <c r="M19" s="11">
        <f>[5]Expenditure!$K$5+[5]Expenditure!$M$5</f>
        <v>115605.89</v>
      </c>
      <c r="N19" s="11">
        <f>[5]Expenditure!$L$5</f>
        <v>117253.51</v>
      </c>
      <c r="P19" s="12">
        <f>SUM(D19:O19)</f>
        <v>4752905.8699999992</v>
      </c>
      <c r="Q19" s="11"/>
    </row>
    <row r="20" spans="1:18" s="4" customFormat="1" x14ac:dyDescent="0.25">
      <c r="A20" s="9" t="s">
        <v>3</v>
      </c>
      <c r="D20" s="19">
        <f t="shared" si="7"/>
        <v>-695016.11</v>
      </c>
      <c r="E20" s="19">
        <f>E9+I9+M9+Q9</f>
        <v>-285285.59999999998</v>
      </c>
      <c r="F20" s="19">
        <f t="shared" si="7"/>
        <v>-774909.09000000008</v>
      </c>
      <c r="G20" s="19"/>
      <c r="H20" s="19">
        <f>-SUM([5]Expenditure!$B$18:$E$18)</f>
        <v>-159177.28999999998</v>
      </c>
      <c r="I20" s="19"/>
      <c r="J20" s="19"/>
      <c r="K20" s="19"/>
      <c r="L20" s="19">
        <f>-[5]Expenditure!$F$18-[5]Expenditure!$G$18-[4]Expenditure!$F$18-[4]Expenditure!$G$18</f>
        <v>-235435.58</v>
      </c>
      <c r="M20" s="19">
        <f>-[5]Expenditure!$K$18-[5]Expenditure!$M$18</f>
        <v>-72691.89</v>
      </c>
      <c r="N20" s="19">
        <f>-[5]Expenditure!$L$18</f>
        <v>-63676.05</v>
      </c>
      <c r="O20" s="19"/>
      <c r="P20" s="20">
        <f>SUM(D20:O20)</f>
        <v>-2286191.61</v>
      </c>
      <c r="Q20" s="11"/>
    </row>
    <row r="21" spans="1:18" s="4" customFormat="1" ht="15.75" thickBot="1" x14ac:dyDescent="0.3">
      <c r="A21" s="9" t="s">
        <v>5</v>
      </c>
      <c r="D21" s="13">
        <f t="shared" si="7"/>
        <v>543530.07000000007</v>
      </c>
      <c r="E21" s="13">
        <f>E19+E20</f>
        <v>851812.79999999993</v>
      </c>
      <c r="F21" s="13">
        <f t="shared" si="7"/>
        <v>545999.59999999986</v>
      </c>
      <c r="H21" s="13">
        <f>SUM(H19:H20)</f>
        <v>245919.45</v>
      </c>
      <c r="I21" s="13"/>
      <c r="J21" s="13"/>
      <c r="L21" s="13">
        <f>SUM(L19:L20)</f>
        <v>182960.88000000003</v>
      </c>
      <c r="M21" s="13">
        <f t="shared" ref="M21:N21" si="8">SUM(M19:M20)</f>
        <v>42914</v>
      </c>
      <c r="N21" s="13">
        <f t="shared" si="8"/>
        <v>53577.459999999992</v>
      </c>
      <c r="P21" s="14">
        <f>SUM(D21:O21)</f>
        <v>2466714.2599999998</v>
      </c>
    </row>
    <row r="22" spans="1:18" s="27" customFormat="1" ht="15.75" hidden="1" thickTop="1" x14ac:dyDescent="0.25">
      <c r="A22" s="26"/>
      <c r="D22" s="28" t="s">
        <v>30</v>
      </c>
      <c r="E22" s="28" t="s">
        <v>30</v>
      </c>
      <c r="F22" s="28">
        <f>32664.55+426824.05-F21+86511</f>
        <v>1.1641532182693481E-10</v>
      </c>
      <c r="H22" s="28">
        <f>63214+46659+ 60620.45+65485-H21+6011+5525-1595</f>
        <v>0</v>
      </c>
      <c r="I22" s="28"/>
      <c r="J22" s="28"/>
      <c r="L22" s="28">
        <f>182960.88-L21</f>
        <v>0</v>
      </c>
      <c r="M22" s="28">
        <f>57914-15000</f>
        <v>42914</v>
      </c>
      <c r="N22" s="28" t="s">
        <v>30</v>
      </c>
      <c r="P22" s="29"/>
    </row>
    <row r="23" spans="1:18" s="4" customFormat="1" ht="15.75" thickTop="1" x14ac:dyDescent="0.25">
      <c r="A23" s="9" t="s">
        <v>4</v>
      </c>
      <c r="D23" s="11">
        <f>D11+H11+L11+P11</f>
        <v>87819.359999999957</v>
      </c>
      <c r="E23" s="11">
        <f>E11+I11+M11+Q11</f>
        <v>431877.79999999993</v>
      </c>
      <c r="F23" s="11">
        <f>F11+J11+N11+R11</f>
        <v>32664.549999999988</v>
      </c>
      <c r="H23" s="21">
        <f>SUM('[5]Allocation Sheet'!$C$14:$C$16)+H20</f>
        <v>60620.450000000012</v>
      </c>
      <c r="L23" s="4" t="s">
        <v>16</v>
      </c>
      <c r="M23" s="4" t="s">
        <v>16</v>
      </c>
      <c r="N23" s="4" t="s">
        <v>16</v>
      </c>
      <c r="P23" s="10"/>
    </row>
    <row r="24" spans="1:18" s="4" customFormat="1" x14ac:dyDescent="0.25">
      <c r="A24" s="9" t="s">
        <v>6</v>
      </c>
      <c r="D24" s="11">
        <f>D12+H12+L12+P12</f>
        <v>455710.71000000008</v>
      </c>
      <c r="E24" s="11">
        <f t="shared" ref="E24" si="9">E12+I12+M12+Q12</f>
        <v>366821</v>
      </c>
      <c r="F24" s="11">
        <f>F12+J12+N12+R12</f>
        <v>513335.05</v>
      </c>
      <c r="H24" s="21">
        <f>H19-H23+H20</f>
        <v>185299</v>
      </c>
      <c r="L24" s="4" t="s">
        <v>50</v>
      </c>
      <c r="M24" s="4" t="s">
        <v>19</v>
      </c>
      <c r="N24" s="4" t="s">
        <v>19</v>
      </c>
      <c r="P24" s="10"/>
    </row>
    <row r="25" spans="1:18" s="4" customFormat="1" ht="15.75" thickBot="1" x14ac:dyDescent="0.3">
      <c r="A25" s="15" t="s">
        <v>15</v>
      </c>
      <c r="B25" s="16"/>
      <c r="C25" s="16"/>
      <c r="D25" s="17">
        <f>-D20/D19</f>
        <v>0.56115478068003888</v>
      </c>
      <c r="E25" s="17">
        <f t="shared" ref="E25:H25" si="10">-E20/E19</f>
        <v>0.25088910511174761</v>
      </c>
      <c r="F25" s="17">
        <f t="shared" si="10"/>
        <v>0.58664849119888829</v>
      </c>
      <c r="G25" s="16"/>
      <c r="H25" s="17">
        <f t="shared" si="10"/>
        <v>0.39293648722031183</v>
      </c>
      <c r="I25" s="17"/>
      <c r="J25" s="17"/>
      <c r="K25" s="16"/>
      <c r="L25" s="17">
        <f t="shared" ref="L25:N25" si="11">-L20/L19</f>
        <v>0.56270930208157111</v>
      </c>
      <c r="M25" s="17">
        <f t="shared" si="11"/>
        <v>0.62879053999757284</v>
      </c>
      <c r="N25" s="17">
        <f t="shared" si="11"/>
        <v>0.54306306054292108</v>
      </c>
      <c r="O25" s="16"/>
      <c r="P25" s="18">
        <f>-P20/P19</f>
        <v>0.48100923362069453</v>
      </c>
    </row>
    <row r="27" spans="1:18" x14ac:dyDescent="0.25">
      <c r="A27" t="s">
        <v>21</v>
      </c>
      <c r="B27" t="s">
        <v>26</v>
      </c>
      <c r="R27" s="1"/>
    </row>
    <row r="28" spans="1:18" x14ac:dyDescent="0.25">
      <c r="B28" t="s">
        <v>22</v>
      </c>
      <c r="C28" s="22">
        <v>53114</v>
      </c>
      <c r="D28" t="s">
        <v>27</v>
      </c>
    </row>
    <row r="29" spans="1:18" x14ac:dyDescent="0.25">
      <c r="B29" t="s">
        <v>37</v>
      </c>
    </row>
    <row r="30" spans="1:18" x14ac:dyDescent="0.25">
      <c r="A30" t="s">
        <v>32</v>
      </c>
      <c r="D30" s="1"/>
      <c r="H30" s="2"/>
    </row>
    <row r="31" spans="1:18" x14ac:dyDescent="0.25">
      <c r="B31" s="1">
        <v>13880.19</v>
      </c>
      <c r="C31" t="s">
        <v>34</v>
      </c>
    </row>
    <row r="32" spans="1:18" x14ac:dyDescent="0.25">
      <c r="B32" t="s">
        <v>35</v>
      </c>
    </row>
    <row r="33" spans="1:4" x14ac:dyDescent="0.25">
      <c r="A33" t="s">
        <v>39</v>
      </c>
    </row>
    <row r="34" spans="1:4" x14ac:dyDescent="0.25">
      <c r="B34" t="s">
        <v>22</v>
      </c>
      <c r="C34" s="22">
        <f>49725+C28</f>
        <v>102839</v>
      </c>
      <c r="D34" t="s">
        <v>43</v>
      </c>
    </row>
    <row r="35" spans="1:4" x14ac:dyDescent="0.25">
      <c r="C35" s="30">
        <v>5525</v>
      </c>
      <c r="D35" t="s">
        <v>40</v>
      </c>
    </row>
    <row r="36" spans="1:4" x14ac:dyDescent="0.25">
      <c r="C36" s="30">
        <v>21795</v>
      </c>
      <c r="D36" t="s">
        <v>41</v>
      </c>
    </row>
    <row r="37" spans="1:4" x14ac:dyDescent="0.25">
      <c r="B37" t="s">
        <v>44</v>
      </c>
    </row>
    <row r="38" spans="1:4" x14ac:dyDescent="0.25">
      <c r="B38" t="s">
        <v>36</v>
      </c>
    </row>
    <row r="39" spans="1:4" x14ac:dyDescent="0.25">
      <c r="B39" s="22">
        <v>1595</v>
      </c>
      <c r="C39" t="s">
        <v>38</v>
      </c>
    </row>
    <row r="40" spans="1:4" x14ac:dyDescent="0.25">
      <c r="B40" s="31">
        <v>86511</v>
      </c>
      <c r="C40" t="s">
        <v>49</v>
      </c>
    </row>
    <row r="41" spans="1:4" x14ac:dyDescent="0.25">
      <c r="B41" t="s">
        <v>45</v>
      </c>
    </row>
    <row r="42" spans="1:4" x14ac:dyDescent="0.25">
      <c r="B42" t="s">
        <v>46</v>
      </c>
    </row>
    <row r="43" spans="1:4" x14ac:dyDescent="0.25">
      <c r="B43" s="31">
        <v>6011</v>
      </c>
      <c r="C43" t="s">
        <v>47</v>
      </c>
    </row>
    <row r="44" spans="1:4" x14ac:dyDescent="0.25">
      <c r="B44" s="31">
        <v>54096</v>
      </c>
      <c r="C44" t="s">
        <v>48</v>
      </c>
    </row>
  </sheetData>
  <mergeCells count="2">
    <mergeCell ref="A1:R1"/>
    <mergeCell ref="A2:R2"/>
  </mergeCells>
  <phoneticPr fontId="3" type="noConversion"/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7AA0-1B8E-48F5-975C-9FD78026EA22}">
  <dimension ref="A2"/>
  <sheetViews>
    <sheetView workbookViewId="0">
      <selection activeCell="B31" sqref="B31"/>
    </sheetView>
  </sheetViews>
  <sheetFormatPr defaultRowHeight="15" x14ac:dyDescent="0.25"/>
  <sheetData>
    <row r="2" spans="1:1" x14ac:dyDescent="0.25">
      <c r="A2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Prior Transfers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Safko</dc:creator>
  <cp:lastModifiedBy>Rob Guentter</cp:lastModifiedBy>
  <cp:lastPrinted>2024-03-17T21:24:46Z</cp:lastPrinted>
  <dcterms:created xsi:type="dcterms:W3CDTF">2023-08-21T14:11:53Z</dcterms:created>
  <dcterms:modified xsi:type="dcterms:W3CDTF">2024-03-17T21:25:15Z</dcterms:modified>
</cp:coreProperties>
</file>